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4F8F4D84-DBB0-45A7-BCEE-93647CA084A3}" xr6:coauthVersionLast="47" xr6:coauthVersionMax="47" xr10:uidLastSave="{00000000-0000-0000-0000-000000000000}"/>
  <workbookProtection workbookAlgorithmName="SHA-512" workbookHashValue="msrVxjXnWxOW8jiJCoWYZC8ozAfakuKRhJ9trH3RdZ6IUDu9DsefSwCmsTmbHLvb1NPFyNmWzVgg9exTAdNVdw==" workbookSaltValue="iJmX6DgPSk5S334tjcKyBg==" workbookSpinCount="100000" lockStructure="1"/>
  <bookViews>
    <workbookView xWindow="-120" yWindow="-120" windowWidth="29040" windowHeight="15720" xr2:uid="{00000000-000D-0000-FFFF-FFFF00000000}"/>
  </bookViews>
  <sheets>
    <sheet name="Calculator" sheetId="1" r:id="rId1"/>
    <sheet name="Data" sheetId="2" state="hidden" r:id="rId2"/>
  </sheets>
  <definedNames>
    <definedName name="Grade">Data!$A$2:$A$6</definedName>
    <definedName name="Grades">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7" i="1"/>
  <c r="B9" i="2"/>
  <c r="A9" i="2"/>
  <c r="G59" i="1"/>
  <c r="G60" i="1"/>
  <c r="G61" i="1"/>
  <c r="F59" i="1"/>
  <c r="F60" i="1"/>
  <c r="F61" i="1"/>
  <c r="D59" i="1"/>
  <c r="D60" i="1"/>
  <c r="D61" i="1"/>
  <c r="B13" i="2"/>
  <c r="E59" i="1" s="1"/>
  <c r="B14" i="2"/>
  <c r="E60" i="1" s="1"/>
  <c r="C13" i="2" l="1"/>
  <c r="D13" i="2" s="1"/>
  <c r="I59" i="1"/>
  <c r="I60" i="1"/>
  <c r="G13" i="2"/>
  <c r="H13" i="2" s="1"/>
  <c r="I13" i="2" s="1"/>
  <c r="H59" i="1" s="1"/>
  <c r="G15" i="2"/>
  <c r="H15" i="2" s="1"/>
  <c r="G14" i="2"/>
  <c r="H14" i="2" s="1"/>
  <c r="B12" i="2"/>
  <c r="C12" i="2" s="1"/>
  <c r="D12" i="2" s="1"/>
  <c r="G12" i="2"/>
  <c r="H12" i="2" s="1"/>
  <c r="C14" i="2"/>
  <c r="D14" i="2" s="1"/>
  <c r="B15" i="2"/>
  <c r="B16" i="2"/>
  <c r="G16" i="2"/>
  <c r="H16" i="2" s="1"/>
  <c r="B17" i="2"/>
  <c r="C17" i="2" s="1"/>
  <c r="D17" i="2" s="1"/>
  <c r="G17" i="2"/>
  <c r="H17" i="2" s="1"/>
  <c r="B18" i="2"/>
  <c r="C18" i="2" s="1"/>
  <c r="D18" i="2" s="1"/>
  <c r="G18" i="2"/>
  <c r="H18" i="2" s="1"/>
  <c r="B19" i="2"/>
  <c r="C19" i="2"/>
  <c r="D19" i="2" s="1"/>
  <c r="G19" i="2"/>
  <c r="H19" i="2" s="1"/>
  <c r="B20" i="2"/>
  <c r="C20" i="2"/>
  <c r="D20" i="2" s="1"/>
  <c r="G20" i="2"/>
  <c r="H20" i="2" s="1"/>
  <c r="B21" i="2"/>
  <c r="C21" i="2" s="1"/>
  <c r="D21" i="2" s="1"/>
  <c r="G21" i="2"/>
  <c r="H21" i="2" s="1"/>
  <c r="B22" i="2"/>
  <c r="C22" i="2" s="1"/>
  <c r="D22" i="2" s="1"/>
  <c r="G22" i="2"/>
  <c r="H22" i="2" s="1"/>
  <c r="B23" i="2"/>
  <c r="C23" i="2"/>
  <c r="D23" i="2" s="1"/>
  <c r="G23" i="2"/>
  <c r="H23" i="2" s="1"/>
  <c r="I14" i="2" l="1"/>
  <c r="H60" i="1" s="1"/>
  <c r="C15" i="2"/>
  <c r="D15" i="2" s="1"/>
  <c r="I15" i="2" s="1"/>
  <c r="H61" i="1" s="1"/>
  <c r="E61" i="1"/>
  <c r="C16" i="2"/>
  <c r="D16" i="2" s="1"/>
  <c r="I16" i="2" s="1"/>
  <c r="E62" i="1"/>
  <c r="I12" i="2"/>
  <c r="I23" i="2"/>
  <c r="I17" i="2"/>
  <c r="I20" i="2"/>
  <c r="I18" i="2"/>
  <c r="I22" i="2"/>
  <c r="I21" i="2"/>
  <c r="I19" i="2"/>
  <c r="H47" i="1" l="1"/>
  <c r="F21" i="1"/>
  <c r="F20" i="1"/>
  <c r="F13" i="1"/>
  <c r="C9" i="2"/>
  <c r="D9" i="2" s="1"/>
  <c r="G62" i="1" l="1"/>
  <c r="G63" i="1"/>
  <c r="G64" i="1"/>
  <c r="G65" i="1"/>
  <c r="G66" i="1"/>
  <c r="G67" i="1"/>
  <c r="G68" i="1"/>
  <c r="G69" i="1"/>
  <c r="F62" i="1"/>
  <c r="F63" i="1"/>
  <c r="F64" i="1"/>
  <c r="F65" i="1"/>
  <c r="F66" i="1"/>
  <c r="F67" i="1"/>
  <c r="F68" i="1"/>
  <c r="F69" i="1"/>
  <c r="D62" i="1"/>
  <c r="D63" i="1"/>
  <c r="D64" i="1"/>
  <c r="D65" i="1"/>
  <c r="D66" i="1"/>
  <c r="D67" i="1"/>
  <c r="D68" i="1"/>
  <c r="D69" i="1"/>
  <c r="I62" i="1" l="1"/>
  <c r="I69" i="1"/>
  <c r="I68" i="1"/>
  <c r="I61" i="1"/>
  <c r="I67" i="1"/>
  <c r="I66" i="1"/>
  <c r="I65" i="1"/>
  <c r="I64" i="1"/>
  <c r="I63" i="1"/>
  <c r="H62" i="1" l="1"/>
  <c r="E66" i="1"/>
  <c r="E67" i="1" l="1"/>
  <c r="H66" i="1" l="1"/>
  <c r="H67" i="1"/>
  <c r="E69" i="1"/>
  <c r="E68" i="1"/>
  <c r="H68" i="1" l="1"/>
  <c r="H69" i="1"/>
  <c r="E65" i="1"/>
  <c r="D38" i="1" l="1"/>
  <c r="D13" i="1"/>
  <c r="F58" i="1"/>
  <c r="H65" i="1" l="1"/>
  <c r="E28" i="1"/>
  <c r="E63" i="1"/>
  <c r="E64" i="1"/>
  <c r="D3" i="2"/>
  <c r="D4" i="2"/>
  <c r="D5" i="2"/>
  <c r="D6" i="2"/>
  <c r="D2" i="2"/>
  <c r="H43" i="1"/>
  <c r="D58" i="1"/>
  <c r="E58" i="1"/>
  <c r="G29" i="1"/>
  <c r="E27" i="1"/>
  <c r="K37" i="1"/>
  <c r="E38" i="1"/>
  <c r="F38" i="1"/>
  <c r="G38" i="1"/>
  <c r="H38" i="1"/>
  <c r="I38" i="1"/>
  <c r="J38" i="1"/>
  <c r="H44" i="1"/>
  <c r="F14" i="1"/>
  <c r="H13" i="1"/>
  <c r="F3" i="2"/>
  <c r="G58" i="1"/>
  <c r="I58" i="1" l="1"/>
  <c r="H45" i="1"/>
  <c r="H58" i="1" l="1"/>
  <c r="H64" i="1"/>
  <c r="H51" i="1"/>
  <c r="H63" i="1"/>
  <c r="H71" i="1" l="1"/>
  <c r="H48" i="1"/>
  <c r="H49" i="1" s="1"/>
  <c r="H52" i="1" l="1"/>
</calcChain>
</file>

<file path=xl/sharedStrings.xml><?xml version="1.0" encoding="utf-8"?>
<sst xmlns="http://schemas.openxmlformats.org/spreadsheetml/2006/main" count="95" uniqueCount="76">
  <si>
    <t>Please complete the grey boxes</t>
  </si>
  <si>
    <t>Step 1:</t>
  </si>
  <si>
    <t>Please select your grade:</t>
  </si>
  <si>
    <t>Grade 7-11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</si>
  <si>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</si>
  <si>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</si>
  <si>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</si>
  <si>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</si>
  <si>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</si>
  <si>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</si>
  <si>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</si>
  <si>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</si>
  <si>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</si>
  <si>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</si>
  <si>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</si>
  <si>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</si>
  <si>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</si>
  <si>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</si>
  <si>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</si>
  <si>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</si>
  <si>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</si>
  <si>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</si>
  <si>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</si>
  <si>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</si>
  <si>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</si>
  <si>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</si>
  <si>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</si>
  <si>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</si>
  <si>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</si>
  <si>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</si>
  <si>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</si>
  <si>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</si>
  <si>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</si>
  <si>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</si>
  <si>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</si>
  <si>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</si>
  <si>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</si>
  <si>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</si>
  <si>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</si>
  <si>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</si>
  <si>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</si>
  <si>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</si>
  <si>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</si>
  <si>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</si>
  <si>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</si>
  <si>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</si>
  <si>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</si>
  <si>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Grade 1-6</t>
  </si>
  <si>
    <t>Grade 1-6 with 5yrs long service</t>
  </si>
  <si>
    <t>Grade 1-6 with 7yrs long service</t>
  </si>
  <si>
    <t>Grade 1-6 with 12yrs long service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</si>
  <si>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</si>
  <si>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</si>
  <si>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</si>
  <si>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</si>
  <si>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</si>
  <si>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</si>
  <si>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</si>
  <si>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</si>
  <si>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</si>
  <si>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</si>
  <si>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</si>
  <si>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</si>
  <si>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</si>
  <si>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</si>
  <si>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</si>
  <si>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</si>
  <si>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</si>
  <si>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</si>
  <si>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</si>
  <si>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</si>
  <si>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</si>
  <si>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Bank holiday and closure days 2024/25:</t>
  </si>
  <si>
    <t>Christmas Eve</t>
  </si>
  <si>
    <t>For staff who TUPE-ed from UoE to UECS before 1st April 2020</t>
  </si>
  <si>
    <t>ANNUAL LEAVE CALCULATOR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</si>
</sst>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3" borderId="13" applyNumberFormat="0" applyFont="0" applyAlignment="0" applyProtection="0"/>
  </cellStyleXfs>
  <cellXfs count="91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3" borderId="13" xfId="1" applyFont="1"/>
    <xf numFmtId="15" fontId="0" fillId="3" borderId="13" xfId="1" applyNumberFormat="1" applyFont="1"/>
    <xf numFmtId="1" fontId="0" fillId="3" borderId="13" xfId="1" applyNumberFormat="1" applyFont="1"/>
    <xf numFmtId="0" fontId="2" fillId="3" borderId="13" xfId="1" applyFont="1" applyProtection="1">
      <protection locked="0"/>
    </xf>
    <xf numFmtId="0" fontId="0" fillId="3" borderId="13" xfId="1" applyFont="1" applyProtection="1">
      <protection locked="0"/>
    </xf>
    <xf numFmtId="15" fontId="0" fillId="3" borderId="13" xfId="1" applyNumberFormat="1" applyFont="1" applyAlignment="1" applyProtection="1">
      <alignment horizontal="left"/>
      <protection locked="0"/>
    </xf>
    <xf numFmtId="164" fontId="0" fillId="3" borderId="13" xfId="1" applyNumberFormat="1" applyFont="1" applyProtection="1">
      <protection locked="0"/>
    </xf>
    <xf numFmtId="0" fontId="2" fillId="3" borderId="13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5" fontId="9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Alignment="1" applyProtection="1"/>
    <xf numFmtId="15" fontId="8" fillId="3" borderId="13" xfId="1" applyNumberFormat="1" applyFont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/>
    </xf>
    <xf numFmtId="0" fontId="6" fillId="6" borderId="10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0" xfId="0" applyFont="1" applyFill="1" applyBorder="1" applyProtection="1"/>
    <xf numFmtId="0" fontId="15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11</xdr:row>
      <xdr:rowOff>95250</xdr:rowOff>
    </xdr:from>
    <xdr:to>
      <xdr:col>10</xdr:col>
      <xdr:colOff>1106033</xdr:colOff>
      <xdr:row>25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11</xdr:row>
      <xdr:rowOff>140834</xdr:rowOff>
    </xdr:from>
    <xdr:to>
      <xdr:col>10</xdr:col>
      <xdr:colOff>1021896</xdr:colOff>
      <xdr:row>13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14</xdr:row>
      <xdr:rowOff>28121</xdr:rowOff>
    </xdr:from>
    <xdr:to>
      <xdr:col>10</xdr:col>
      <xdr:colOff>956810</xdr:colOff>
      <xdr:row>25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533400</xdr:colOff>
      <xdr:row>1</xdr:row>
      <xdr:rowOff>171450</xdr:rowOff>
    </xdr:from>
    <xdr:to>
      <xdr:col>11</xdr:col>
      <xdr:colOff>104775</xdr:colOff>
      <xdr:row>4</xdr:row>
      <xdr:rowOff>19986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304800"/>
          <a:ext cx="1781175" cy="64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4"/>
  <sheetViews>
    <sheetView showGridLines="0" showRowColHeaders="0" tabSelected="1" zoomScaleNormal="100" workbookViewId="0">
      <selection activeCell="I28" sqref="I28"/>
    </sheetView>
  </sheetViews>
  <sheetFormatPr defaultColWidth="9.140625" defaultRowHeight="15" x14ac:dyDescent="0.25"/>
  <cols>
    <col min="1" max="1" width="1.7109375" style="13" customWidth="1"/>
    <col min="2" max="3" width="3.85546875" style="13" customWidth="1"/>
    <col min="4" max="4" width="23.140625" style="13" customWidth="1"/>
    <col min="5" max="5" width="23.42578125" style="13" customWidth="1"/>
    <col min="6" max="6" width="24.5703125" style="13" customWidth="1"/>
    <col min="7" max="8" width="22" style="13" customWidth="1"/>
    <col min="9" max="9" width="15.85546875" style="13" customWidth="1"/>
    <col min="10" max="10" width="15" style="13" customWidth="1"/>
    <col min="11" max="11" width="18.140625" style="13" customWidth="1"/>
    <col min="12" max="12" width="7.42578125" style="13" customWidth="1"/>
    <col min="13" max="16384" width="9.140625" style="13"/>
  </cols>
  <sheetData>
    <row r="1" spans="1:22" ht="10.5" customHeight="1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.75" thickTop="1" x14ac:dyDescent="0.25">
      <c r="A2" s="15"/>
      <c r="B2" s="57"/>
      <c r="C2" s="58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25" x14ac:dyDescent="0.35">
      <c r="B3" s="59"/>
      <c r="C3" s="42"/>
      <c r="E3" s="18"/>
      <c r="G3" s="52" t="s">
        <v>75</v>
      </c>
      <c r="H3" s="18"/>
      <c r="I3" s="18"/>
      <c r="J3" s="18"/>
      <c r="K3" s="18"/>
      <c r="L3" s="15"/>
      <c r="N3" s="18"/>
      <c r="O3" s="18"/>
      <c r="P3" s="18"/>
      <c r="Q3" s="52"/>
      <c r="R3" s="18"/>
      <c r="S3" s="18"/>
      <c r="T3" s="18"/>
    </row>
    <row r="4" spans="1:22" ht="23.25" x14ac:dyDescent="0.35">
      <c r="B4" s="59"/>
      <c r="C4" s="42"/>
      <c r="E4" s="18"/>
      <c r="G4" s="86" t="s">
        <v>74</v>
      </c>
      <c r="H4" s="18"/>
      <c r="I4" s="18"/>
      <c r="J4" s="18"/>
      <c r="K4" s="18"/>
      <c r="L4" s="15"/>
      <c r="N4" s="18"/>
      <c r="O4" s="18"/>
      <c r="P4" s="18"/>
      <c r="Q4" s="52"/>
      <c r="R4" s="18"/>
      <c r="S4" s="18"/>
      <c r="T4" s="18"/>
    </row>
    <row r="5" spans="1:22" x14ac:dyDescent="0.25">
      <c r="B5" s="59"/>
      <c r="C5" s="42"/>
      <c r="D5" s="18"/>
      <c r="E5" s="18"/>
      <c r="G5" s="82" t="s">
        <v>0</v>
      </c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25">
      <c r="B6" s="59"/>
      <c r="C6" s="42"/>
      <c r="D6" s="49" t="s">
        <v>1</v>
      </c>
      <c r="E6" s="18"/>
      <c r="F6" s="18"/>
      <c r="G6" s="18"/>
      <c r="H6" s="18"/>
      <c r="I6" s="18"/>
      <c r="J6" s="18"/>
      <c r="K6" s="18"/>
      <c r="L6" s="15"/>
      <c r="N6" s="18"/>
      <c r="O6" s="18"/>
      <c r="P6" s="18"/>
      <c r="Q6" s="18"/>
      <c r="R6" s="18"/>
      <c r="S6" s="18"/>
      <c r="T6" s="18"/>
    </row>
    <row r="7" spans="1:22" x14ac:dyDescent="0.25">
      <c r="B7" s="59"/>
      <c r="C7" s="51"/>
      <c r="D7" s="19" t="s">
        <v>2</v>
      </c>
      <c r="E7" s="87"/>
      <c r="F7" s="88"/>
      <c r="G7" s="89"/>
      <c r="H7" s="18"/>
      <c r="I7" s="18"/>
      <c r="J7" s="18"/>
      <c r="K7" s="18"/>
      <c r="L7" s="15"/>
      <c r="N7" s="18"/>
      <c r="O7" s="18"/>
      <c r="P7" s="18"/>
      <c r="Q7" s="18"/>
      <c r="R7" s="18"/>
      <c r="S7" s="18"/>
      <c r="T7" s="18"/>
    </row>
    <row r="8" spans="1:22" x14ac:dyDescent="0.25">
      <c r="B8" s="59"/>
      <c r="C8" s="42"/>
      <c r="D8" s="18"/>
      <c r="E8" s="18"/>
      <c r="F8" s="18"/>
      <c r="G8" s="18"/>
      <c r="H8" s="18"/>
      <c r="I8" s="18"/>
      <c r="J8" s="18"/>
      <c r="K8" s="18"/>
      <c r="L8" s="15"/>
      <c r="N8" s="18"/>
      <c r="O8" s="18"/>
      <c r="P8" s="18"/>
      <c r="Q8" s="18"/>
      <c r="R8" s="18"/>
      <c r="S8" s="18"/>
      <c r="T8" s="18"/>
    </row>
    <row r="9" spans="1:22" x14ac:dyDescent="0.25">
      <c r="B9" s="59"/>
      <c r="C9" s="42"/>
      <c r="D9" s="50" t="s">
        <v>4</v>
      </c>
      <c r="E9" s="50"/>
      <c r="F9" s="50"/>
      <c r="G9" s="50"/>
      <c r="H9" s="50"/>
      <c r="I9" s="50"/>
      <c r="J9" s="54"/>
      <c r="L9" s="15"/>
      <c r="N9" s="18"/>
      <c r="O9" s="18"/>
      <c r="P9" s="18"/>
      <c r="Q9" s="18"/>
      <c r="R9" s="18"/>
      <c r="S9" s="18"/>
      <c r="T9" s="18"/>
    </row>
    <row r="10" spans="1:22" x14ac:dyDescent="0.25">
      <c r="B10" s="59"/>
      <c r="C10" s="42"/>
      <c r="E10" s="50"/>
      <c r="F10" s="50"/>
      <c r="G10" s="50"/>
      <c r="H10" s="50"/>
      <c r="I10" s="50"/>
      <c r="J10" s="54"/>
      <c r="L10" s="15"/>
      <c r="N10" s="21"/>
      <c r="O10" s="44"/>
      <c r="P10" s="44"/>
      <c r="Q10" s="44"/>
      <c r="R10" s="44"/>
      <c r="S10" s="44"/>
      <c r="T10" s="44"/>
    </row>
    <row r="11" spans="1:22" x14ac:dyDescent="0.25">
      <c r="B11" s="59"/>
      <c r="C11" s="42"/>
      <c r="E11" s="18"/>
      <c r="F11" s="18"/>
      <c r="G11" s="18"/>
      <c r="H11" s="18"/>
      <c r="I11" s="18"/>
      <c r="L11" s="15"/>
      <c r="N11" s="24"/>
      <c r="O11" s="66"/>
      <c r="P11" s="68"/>
      <c r="Q11" s="69"/>
      <c r="R11" s="69"/>
      <c r="S11" s="69"/>
      <c r="T11" s="70"/>
    </row>
    <row r="12" spans="1:22" s="20" customFormat="1" x14ac:dyDescent="0.25">
      <c r="B12" s="60"/>
      <c r="C12" s="61"/>
      <c r="D12" s="21" t="s">
        <v>5</v>
      </c>
      <c r="E12" s="21"/>
      <c r="F12" s="21" t="s">
        <v>6</v>
      </c>
      <c r="G12" s="21"/>
      <c r="H12" s="21" t="s">
        <v>7</v>
      </c>
      <c r="I12" s="21"/>
      <c r="J12" s="13"/>
      <c r="K12" s="13"/>
      <c r="L12" s="22"/>
      <c r="N12" s="18"/>
      <c r="O12" s="66"/>
      <c r="P12" s="69"/>
      <c r="Q12" s="68"/>
      <c r="R12" s="69"/>
      <c r="S12" s="69"/>
      <c r="T12" s="29"/>
      <c r="V12" s="13"/>
    </row>
    <row r="13" spans="1:22" s="23" customFormat="1" x14ac:dyDescent="0.25">
      <c r="B13" s="62"/>
      <c r="C13" s="63"/>
      <c r="D13" s="2" t="str">
        <f>IF(ISBLANK($E$7),"",IF($E$7="Grade 1-6",Data!B2&amp;" days/"&amp;Data!B2*7.2&amp;" hrs",IF($E$7="Grade 1-6 with 5yrs long service",Data!B3&amp;" days/"&amp;Data!B3*7.2&amp;" hrs",IF($E$7="Grade 1-6 with 7yrs long service",Data!B4&amp;" days/"&amp;Data!B4*7.2&amp;" hrs",IF($E$7="Grade 1-6 with 12yrs long service",Data!B5&amp;" days/"&amp;Data!B5*7.2&amp;" hrs",IF($E$7="Grade 7-11",Data!B6&amp;" days/"&amp;Data!B6*7.2&amp;" hrs"))))))</f>
        <v/>
      </c>
      <c r="E13" s="24"/>
      <c r="F13" s="2" t="str">
        <f>IF(ISBLANK($E$7),"",IF($E$7="Grades 1-6",Data!C2&amp;" days/"&amp;Data!C2*7.2&amp; " hrs",Data!C6 &amp;" days/" &amp;Data!C6*7.2&amp;" hrs"))</f>
        <v/>
      </c>
      <c r="G13" s="24"/>
      <c r="H13" s="2" t="str">
        <f>IF(ISBLANK($E$7),"",IF($E$7="Grade 1-6",Data!D2&amp;" days/"&amp;Data!D2*7.2&amp;" hrs",IF($E$7="Grade 1-6 with 5yrs long service",Data!D3&amp;" days/"&amp;Data!D3*7.2&amp;" hrs",IF($E$7="Grade 1-6 with 7yrs long service",Data!D4&amp;" days/"&amp;Data!D4*7.2&amp;" hrs",IF($E$7="Grade 1-6 with 12yrs long service",Data!D5&amp;" days/"&amp;Data!D5*7.2&amp;" hrs",IF($E$7="Grade 7-11",Data!D6&amp;" days/"&amp;Data!D6*7.2&amp;" hrs"))))))</f>
        <v/>
      </c>
      <c r="I13" s="24"/>
      <c r="J13" s="24"/>
      <c r="K13" s="24"/>
      <c r="L13" s="25"/>
      <c r="N13" s="18"/>
      <c r="O13" s="67"/>
      <c r="P13" s="71"/>
      <c r="Q13" s="69"/>
      <c r="R13" s="68"/>
      <c r="S13" s="68"/>
      <c r="T13" s="29"/>
      <c r="V13" s="13"/>
    </row>
    <row r="14" spans="1:22" x14ac:dyDescent="0.25">
      <c r="B14" s="59"/>
      <c r="C14" s="42"/>
      <c r="E14" s="42"/>
      <c r="F14" s="27" t="str">
        <f>IF(ISBLANK($E$7),"",IF($E$7="Grades 1-6",Data!C2*7.2,Data!C6*7.2))</f>
        <v/>
      </c>
      <c r="G14" s="18"/>
      <c r="H14" s="18"/>
      <c r="I14" s="18"/>
      <c r="J14" s="18"/>
      <c r="K14" s="18"/>
      <c r="L14" s="15"/>
      <c r="N14" s="18"/>
      <c r="O14" s="29"/>
      <c r="P14" s="29"/>
      <c r="Q14" s="29"/>
      <c r="R14" s="29"/>
      <c r="S14" s="29"/>
      <c r="T14" s="29"/>
    </row>
    <row r="15" spans="1:22" x14ac:dyDescent="0.25">
      <c r="B15" s="59"/>
      <c r="C15" s="42"/>
      <c r="D15" s="83" t="s">
        <v>8</v>
      </c>
      <c r="E15" s="42"/>
      <c r="F15" s="27"/>
      <c r="G15" s="18"/>
      <c r="H15" s="18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25">
      <c r="B16" s="59"/>
      <c r="C16" s="42"/>
      <c r="D16" s="50"/>
      <c r="E16" s="42"/>
      <c r="F16" s="27"/>
      <c r="G16" s="18"/>
      <c r="H16" s="18"/>
      <c r="I16" s="18"/>
      <c r="J16" s="18"/>
      <c r="K16" s="18"/>
      <c r="L16" s="15"/>
      <c r="N16" s="18"/>
      <c r="O16" s="18"/>
      <c r="P16" s="18"/>
      <c r="Q16" s="18"/>
      <c r="R16" s="18"/>
      <c r="S16" s="18"/>
      <c r="T16" s="18"/>
    </row>
    <row r="17" spans="2:20" x14ac:dyDescent="0.25">
      <c r="B17" s="59"/>
      <c r="C17" s="42"/>
      <c r="D17" s="49" t="s">
        <v>9</v>
      </c>
      <c r="E17" s="42"/>
      <c r="F17" s="27"/>
      <c r="G17" s="18"/>
      <c r="H17" s="18"/>
      <c r="I17" s="18"/>
      <c r="J17" s="18"/>
      <c r="K17" s="18"/>
      <c r="L17" s="15"/>
      <c r="N17" s="18"/>
      <c r="O17" s="18"/>
      <c r="P17" s="18"/>
      <c r="Q17" s="18"/>
      <c r="R17" s="18"/>
      <c r="S17" s="18"/>
      <c r="T17" s="18"/>
    </row>
    <row r="18" spans="2:20" x14ac:dyDescent="0.25">
      <c r="B18" s="59"/>
      <c r="C18" s="51"/>
      <c r="D18" s="18" t="s">
        <v>70</v>
      </c>
      <c r="E18" s="18"/>
      <c r="F18" s="18"/>
      <c r="G18" s="18"/>
      <c r="H18" s="47"/>
      <c r="I18" s="18"/>
      <c r="J18" s="18"/>
      <c r="K18" s="18"/>
      <c r="L18" s="15"/>
      <c r="N18" s="18"/>
      <c r="O18" s="18"/>
      <c r="P18" s="18"/>
      <c r="Q18" s="18"/>
      <c r="R18" s="18"/>
      <c r="S18" s="18"/>
      <c r="T18" s="18"/>
    </row>
    <row r="19" spans="2:20" x14ac:dyDescent="0.25">
      <c r="B19" s="59"/>
      <c r="C19" s="42"/>
      <c r="D19" s="18"/>
      <c r="E19" s="18"/>
      <c r="F19" s="18"/>
      <c r="G19" s="18"/>
      <c r="H19" s="27"/>
      <c r="I19" s="18"/>
      <c r="J19" s="18"/>
      <c r="L19" s="15"/>
      <c r="N19" s="18"/>
      <c r="O19" s="90"/>
      <c r="P19" s="90"/>
      <c r="Q19" s="90"/>
      <c r="R19" s="90"/>
      <c r="S19" s="90"/>
      <c r="T19" s="18"/>
    </row>
    <row r="20" spans="2:20" ht="15" customHeight="1" x14ac:dyDescent="0.25">
      <c r="B20" s="59"/>
      <c r="C20" s="42"/>
      <c r="E20" s="41" t="s">
        <v>10</v>
      </c>
      <c r="F20" s="2" t="str">
        <f>((IF(ISBLANK($E$7),"",IF($E$7="Grade 1-6",Data!D2*7.2,IF($E$7="Grade 1-6 with 5yrs long service",Data!D3*7.2,IF($E$7="Grade 1-6 with 7yrs long service",Data!D4*7.2,IF($E$7="Grade 1-6 with 12yrs long service",Data!D5*7.2,IF($E$7="Grade 7-11",Data!D6*7.2)))))+H18)))</f>
        <v/>
      </c>
      <c r="G20" s="18"/>
      <c r="H20" s="18"/>
      <c r="I20" s="18"/>
      <c r="J20" s="18"/>
      <c r="K20" s="18"/>
      <c r="L20" s="15"/>
      <c r="N20" s="18"/>
      <c r="O20" s="90"/>
      <c r="P20" s="90"/>
      <c r="Q20" s="90"/>
      <c r="R20" s="90"/>
      <c r="S20" s="90"/>
      <c r="T20" s="18"/>
    </row>
    <row r="21" spans="2:20" x14ac:dyDescent="0.25">
      <c r="B21" s="59"/>
      <c r="C21" s="42"/>
      <c r="D21" s="18"/>
      <c r="E21" s="18"/>
      <c r="F21" s="27" t="e">
        <f>(IF(ISBLANK($E$7),"",IF($E$7="Grade 1-6",Data!B2*7.2,IF($E$7="Grade 1-6 with 5yrs long service",Data!B3*7.2,IF($E$7="Grade 1-6 with 7yrs long service",Data!B4*7.2,IF($E$7="Grade 1-6 with 12yrs long service",Data!B5*7.2,IF($E$7="Grade 7-11",Data!B6*7.2))))))+H18)</f>
        <v>#VALUE!</v>
      </c>
      <c r="G21" s="18"/>
      <c r="H21" s="18"/>
      <c r="I21" s="18"/>
      <c r="J21" s="18"/>
      <c r="K21" s="18"/>
      <c r="L21" s="15"/>
      <c r="N21" s="18"/>
      <c r="O21" s="90"/>
      <c r="P21" s="90"/>
      <c r="Q21" s="90"/>
      <c r="R21" s="90"/>
      <c r="S21" s="90"/>
      <c r="T21" s="18"/>
    </row>
    <row r="22" spans="2:20" x14ac:dyDescent="0.25">
      <c r="B22" s="59"/>
      <c r="C22" s="42"/>
      <c r="D22" s="82" t="s">
        <v>11</v>
      </c>
      <c r="E22" s="18"/>
      <c r="F22" s="27"/>
      <c r="G22" s="18"/>
      <c r="H22" s="18"/>
      <c r="I22" s="18"/>
      <c r="J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x14ac:dyDescent="0.25">
      <c r="B23" s="59"/>
      <c r="C23" s="42"/>
      <c r="D23" s="18"/>
      <c r="E23" s="18"/>
      <c r="F23" s="27"/>
      <c r="G23" s="18"/>
      <c r="H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x14ac:dyDescent="0.25">
      <c r="B24" s="59"/>
      <c r="C24" s="42"/>
      <c r="D24" s="49" t="s">
        <v>12</v>
      </c>
      <c r="E24" s="18"/>
      <c r="F24" s="27"/>
      <c r="G24" s="18"/>
      <c r="H24" s="18"/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x14ac:dyDescent="0.25">
      <c r="B25" s="59"/>
      <c r="C25" s="51"/>
      <c r="D25" s="18" t="s">
        <v>13</v>
      </c>
      <c r="E25" s="18"/>
      <c r="F25" s="18"/>
      <c r="G25" s="18"/>
      <c r="H25" s="18"/>
      <c r="I25" s="18"/>
      <c r="J25" s="18"/>
      <c r="K25" s="18"/>
      <c r="L25" s="15"/>
      <c r="N25" s="18"/>
      <c r="O25" s="18"/>
      <c r="P25" s="18"/>
      <c r="Q25" s="18"/>
      <c r="R25" s="18"/>
      <c r="S25" s="18"/>
      <c r="T25" s="18"/>
    </row>
    <row r="26" spans="2:20" ht="15.75" customHeight="1" x14ac:dyDescent="0.25">
      <c r="B26" s="59"/>
      <c r="C26" s="42"/>
      <c r="D26" s="18"/>
      <c r="E26" s="18"/>
      <c r="F26" s="18"/>
      <c r="G26" s="18"/>
      <c r="H26" s="18"/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ht="15" customHeight="1" x14ac:dyDescent="0.25">
      <c r="B27" s="59"/>
      <c r="C27" s="42"/>
      <c r="D27" s="18" t="s">
        <v>14</v>
      </c>
      <c r="E27" s="56">
        <f>Data!E9</f>
        <v>45870</v>
      </c>
      <c r="F27" s="18" t="s">
        <v>15</v>
      </c>
      <c r="G27" s="46"/>
      <c r="H27" s="84" t="str">
        <f>IF(ISBLANK(G27),"",IF(G27&gt;=E27," ","The date entered must be equal to or after 01/08/2025"))</f>
        <v/>
      </c>
      <c r="I27" s="18"/>
      <c r="J27" s="18"/>
      <c r="K27" s="18"/>
      <c r="L27" s="15"/>
      <c r="N27" s="18"/>
      <c r="O27" s="18"/>
      <c r="P27" s="18"/>
      <c r="Q27" s="18"/>
      <c r="R27" s="18"/>
      <c r="S27" s="18"/>
      <c r="T27" s="18"/>
    </row>
    <row r="28" spans="2:20" x14ac:dyDescent="0.25">
      <c r="B28" s="59"/>
      <c r="C28" s="42"/>
      <c r="D28" s="18" t="s">
        <v>16</v>
      </c>
      <c r="E28" s="56">
        <f>Data!F9</f>
        <v>46234</v>
      </c>
      <c r="F28" s="18" t="s">
        <v>17</v>
      </c>
      <c r="G28" s="46"/>
      <c r="H28" s="84" t="str">
        <f>IF(G28&lt;=E28," ","The date entered must be equal to or before 31/07/2026")</f>
        <v xml:space="preserve"> </v>
      </c>
      <c r="I28" s="18"/>
      <c r="J28" s="18"/>
      <c r="K28" s="18"/>
      <c r="L28" s="15"/>
      <c r="N28" s="18"/>
      <c r="O28" s="29"/>
      <c r="P28" s="18"/>
      <c r="Q28" s="18"/>
      <c r="R28" s="18"/>
      <c r="S28" s="18"/>
      <c r="T28" s="18"/>
    </row>
    <row r="29" spans="2:20" ht="15" customHeight="1" x14ac:dyDescent="0.25">
      <c r="B29" s="59"/>
      <c r="C29" s="42"/>
      <c r="D29" s="18"/>
      <c r="E29" s="18"/>
      <c r="F29" s="18"/>
      <c r="G29" s="85" t="str">
        <f>IF(G28="","",IF(G28&lt;G27,"End date must be later than start date",""))</f>
        <v/>
      </c>
      <c r="H29" s="18"/>
      <c r="I29" s="18"/>
      <c r="J29" s="18"/>
      <c r="K29" s="18"/>
      <c r="L29" s="15"/>
      <c r="N29" s="18"/>
      <c r="O29" s="18"/>
      <c r="P29" s="18"/>
      <c r="Q29" s="18"/>
      <c r="R29" s="18"/>
      <c r="S29" s="18"/>
      <c r="T29" s="18"/>
    </row>
    <row r="30" spans="2:20" ht="15" customHeight="1" x14ac:dyDescent="0.25">
      <c r="B30" s="59"/>
      <c r="C30" s="42"/>
      <c r="D30" s="49" t="s">
        <v>18</v>
      </c>
      <c r="E30" s="18"/>
      <c r="F30" s="18"/>
      <c r="H30" s="18"/>
      <c r="I30" s="29"/>
      <c r="J30" s="18"/>
      <c r="K30" s="18"/>
      <c r="L30" s="15"/>
    </row>
    <row r="31" spans="2:20" x14ac:dyDescent="0.25">
      <c r="B31" s="59"/>
      <c r="C31" s="51"/>
      <c r="D31" s="29" t="s">
        <v>19</v>
      </c>
      <c r="E31" s="18"/>
      <c r="F31" s="18"/>
      <c r="G31" s="48"/>
      <c r="H31" s="18"/>
      <c r="I31" s="18"/>
      <c r="J31" s="18"/>
      <c r="K31" s="18"/>
      <c r="L31" s="15"/>
    </row>
    <row r="32" spans="2:20" x14ac:dyDescent="0.25">
      <c r="B32" s="59"/>
      <c r="C32" s="42"/>
      <c r="D32" s="18"/>
      <c r="E32" s="18"/>
      <c r="F32" s="18"/>
      <c r="G32" s="18"/>
      <c r="H32" s="18"/>
      <c r="I32" s="18"/>
      <c r="J32" s="18"/>
      <c r="K32" s="18"/>
      <c r="L32" s="15"/>
    </row>
    <row r="33" spans="2:12" x14ac:dyDescent="0.25">
      <c r="B33" s="59"/>
      <c r="C33" s="42"/>
      <c r="D33" s="49" t="s">
        <v>20</v>
      </c>
      <c r="E33" s="18"/>
      <c r="F33" s="18"/>
      <c r="G33" s="18"/>
      <c r="H33" s="18"/>
      <c r="I33" s="18"/>
      <c r="J33" s="18"/>
      <c r="K33" s="18"/>
      <c r="L33" s="15"/>
    </row>
    <row r="34" spans="2:12" x14ac:dyDescent="0.25">
      <c r="B34" s="59"/>
      <c r="C34" s="51"/>
      <c r="D34" s="29" t="s">
        <v>21</v>
      </c>
      <c r="E34" s="18"/>
      <c r="F34" s="18"/>
      <c r="G34" s="18"/>
      <c r="H34" s="18"/>
      <c r="I34" s="18"/>
      <c r="J34" s="18"/>
      <c r="K34" s="18"/>
      <c r="L34" s="15"/>
    </row>
    <row r="35" spans="2:12" x14ac:dyDescent="0.25">
      <c r="B35" s="59"/>
      <c r="C35" s="42"/>
      <c r="D35" s="40">
        <v>1</v>
      </c>
      <c r="E35" s="40">
        <v>2</v>
      </c>
      <c r="F35" s="40">
        <v>3</v>
      </c>
      <c r="G35" s="40">
        <v>4</v>
      </c>
      <c r="H35" s="40">
        <v>5</v>
      </c>
      <c r="I35" s="40">
        <v>6</v>
      </c>
      <c r="J35" s="40">
        <v>7</v>
      </c>
      <c r="K35" s="18"/>
      <c r="L35" s="15"/>
    </row>
    <row r="36" spans="2:12" x14ac:dyDescent="0.25">
      <c r="B36" s="59"/>
      <c r="C36" s="42"/>
      <c r="D36" s="21" t="s">
        <v>22</v>
      </c>
      <c r="E36" s="21" t="s">
        <v>23</v>
      </c>
      <c r="F36" s="21" t="s">
        <v>24</v>
      </c>
      <c r="G36" s="21" t="s">
        <v>25</v>
      </c>
      <c r="H36" s="21" t="s">
        <v>26</v>
      </c>
      <c r="I36" s="21" t="s">
        <v>27</v>
      </c>
      <c r="J36" s="21" t="s">
        <v>28</v>
      </c>
      <c r="K36" s="44" t="s">
        <v>29</v>
      </c>
      <c r="L36" s="15"/>
    </row>
    <row r="37" spans="2:12" x14ac:dyDescent="0.25">
      <c r="B37" s="59"/>
      <c r="C37" s="42"/>
      <c r="D37" s="48"/>
      <c r="E37" s="48"/>
      <c r="F37" s="48"/>
      <c r="G37" s="48"/>
      <c r="H37" s="48"/>
      <c r="I37" s="48"/>
      <c r="J37" s="48"/>
      <c r="K37" s="78" t="str">
        <f>IF(SUM(D37:J37)=0,"",SUM(D37:J37))</f>
        <v/>
      </c>
      <c r="L37" s="15"/>
    </row>
    <row r="38" spans="2:12" x14ac:dyDescent="0.25">
      <c r="B38" s="59"/>
      <c r="C38" s="42"/>
      <c r="D38" s="45" t="str">
        <f>IF(ISBLANK(D37),"",(TEXT(D37/24,"hh:mm"))&amp;" (hrs:mins)")</f>
        <v/>
      </c>
      <c r="E38" s="45" t="str">
        <f t="shared" ref="E38:J38" si="0">IF(ISBLANK(E37),"",(TEXT(E37/24,"hh:mm"))&amp;" (hrs:mins)")</f>
        <v/>
      </c>
      <c r="F38" s="45" t="str">
        <f t="shared" si="0"/>
        <v/>
      </c>
      <c r="G38" s="45" t="str">
        <f t="shared" si="0"/>
        <v/>
      </c>
      <c r="H38" s="45" t="str">
        <f t="shared" si="0"/>
        <v/>
      </c>
      <c r="I38" s="80" t="str">
        <f t="shared" si="0"/>
        <v/>
      </c>
      <c r="J38" s="81" t="str">
        <f t="shared" si="0"/>
        <v/>
      </c>
      <c r="K38" s="79"/>
      <c r="L38" s="15"/>
    </row>
    <row r="39" spans="2:12" x14ac:dyDescent="0.25">
      <c r="B39" s="59"/>
      <c r="C39" s="42"/>
      <c r="D39" s="18"/>
      <c r="E39" s="18"/>
      <c r="F39" s="18"/>
      <c r="G39" s="18"/>
      <c r="H39" s="18"/>
      <c r="I39" s="18"/>
      <c r="J39" s="18"/>
      <c r="K39" s="18"/>
      <c r="L39" s="15"/>
    </row>
    <row r="40" spans="2:12" x14ac:dyDescent="0.25">
      <c r="B40" s="59"/>
      <c r="C40" s="42"/>
      <c r="D40" s="53" t="s">
        <v>30</v>
      </c>
      <c r="E40" s="18"/>
      <c r="F40" s="18"/>
      <c r="G40" s="18"/>
      <c r="H40" s="18"/>
      <c r="I40" s="18"/>
      <c r="J40" s="18"/>
      <c r="K40" s="18"/>
      <c r="L40" s="15"/>
    </row>
    <row r="41" spans="2:12" ht="15.75" thickBot="1" x14ac:dyDescent="0.3">
      <c r="B41" s="59"/>
      <c r="C41" s="42"/>
      <c r="D41" s="18"/>
      <c r="E41" s="18"/>
      <c r="F41" s="18"/>
      <c r="G41" s="18"/>
      <c r="H41" s="18"/>
      <c r="I41" s="18"/>
      <c r="J41" s="18"/>
      <c r="K41" s="18"/>
      <c r="L41" s="15"/>
    </row>
    <row r="42" spans="2:12" ht="15.75" thickTop="1" x14ac:dyDescent="0.25">
      <c r="B42" s="59"/>
      <c r="C42" s="42"/>
      <c r="D42" s="30"/>
      <c r="E42" s="72"/>
      <c r="F42" s="73"/>
      <c r="G42" s="72"/>
      <c r="H42" s="72"/>
      <c r="I42" s="72"/>
      <c r="J42" s="74"/>
      <c r="K42" s="18"/>
      <c r="L42" s="15"/>
    </row>
    <row r="43" spans="2:12" ht="15.75" x14ac:dyDescent="0.25">
      <c r="B43" s="59"/>
      <c r="C43" s="42"/>
      <c r="D43" s="33"/>
      <c r="E43" s="31"/>
      <c r="F43" s="31"/>
      <c r="G43" s="43" t="s">
        <v>31</v>
      </c>
      <c r="H43" s="76" t="str">
        <f>IF(ISBLANK(E7),"",(((F21-H18)/365*Data!D9)*(Calculator!G31/36)))</f>
        <v/>
      </c>
      <c r="I43" s="31"/>
      <c r="J43" s="32"/>
      <c r="K43" s="18"/>
      <c r="L43" s="15"/>
    </row>
    <row r="44" spans="2:12" ht="15.75" x14ac:dyDescent="0.25">
      <c r="B44" s="59"/>
      <c r="C44" s="42"/>
      <c r="D44" s="33"/>
      <c r="E44" s="31"/>
      <c r="F44" s="31"/>
      <c r="G44" s="43" t="s">
        <v>32</v>
      </c>
      <c r="H44" s="76" t="str">
        <f>IF(ISBLANK(H18),"",H18)</f>
        <v/>
      </c>
      <c r="I44" s="31"/>
      <c r="J44" s="32"/>
      <c r="K44" s="18"/>
      <c r="L44" s="15"/>
    </row>
    <row r="45" spans="2:12" ht="15.75" x14ac:dyDescent="0.25">
      <c r="B45" s="59"/>
      <c r="C45" s="42"/>
      <c r="D45" s="33"/>
      <c r="E45" s="31"/>
      <c r="F45" s="31"/>
      <c r="G45" s="34" t="s">
        <v>33</v>
      </c>
      <c r="H45" s="77" t="str">
        <f>IF(ISBLANK(E7),"",H43+H18)</f>
        <v/>
      </c>
      <c r="I45" s="31"/>
      <c r="J45" s="32"/>
      <c r="K45" s="18"/>
      <c r="L45" s="15"/>
    </row>
    <row r="46" spans="2:12" ht="15.75" x14ac:dyDescent="0.25">
      <c r="B46" s="59"/>
      <c r="C46" s="42"/>
      <c r="D46" s="33"/>
      <c r="E46" s="31"/>
      <c r="F46" s="31"/>
      <c r="G46" s="34"/>
      <c r="H46" s="12"/>
      <c r="I46" s="31"/>
      <c r="J46" s="32"/>
      <c r="K46" s="18"/>
      <c r="L46" s="15"/>
    </row>
    <row r="47" spans="2:12" ht="15.75" x14ac:dyDescent="0.25">
      <c r="B47" s="59"/>
      <c r="C47" s="42"/>
      <c r="D47" s="33"/>
      <c r="E47" s="31"/>
      <c r="F47" s="31"/>
      <c r="G47" s="43" t="s">
        <v>34</v>
      </c>
      <c r="H47" s="76" t="str">
        <f>IF(ISBLANK(E7),"",(((COUNTBLANK(I58:I69))*7.2)/36*G31))</f>
        <v/>
      </c>
      <c r="I47" s="31"/>
      <c r="J47" s="32"/>
      <c r="K47" s="18"/>
      <c r="L47" s="15"/>
    </row>
    <row r="48" spans="2:12" ht="15.75" x14ac:dyDescent="0.25">
      <c r="B48" s="59"/>
      <c r="C48" s="42"/>
      <c r="D48" s="33"/>
      <c r="E48" s="31"/>
      <c r="F48" s="31"/>
      <c r="G48" s="43" t="s">
        <v>35</v>
      </c>
      <c r="H48" s="76" t="str">
        <f>IF(ISBLANK(E7),"",H71)</f>
        <v/>
      </c>
      <c r="I48" s="31"/>
      <c r="J48" s="32"/>
      <c r="K48" s="18"/>
      <c r="L48" s="15"/>
    </row>
    <row r="49" spans="2:12" ht="15.75" x14ac:dyDescent="0.25">
      <c r="B49" s="59"/>
      <c r="C49" s="42"/>
      <c r="D49" s="33"/>
      <c r="E49" s="31"/>
      <c r="F49" s="31"/>
      <c r="G49" s="43" t="s">
        <v>36</v>
      </c>
      <c r="H49" s="76" t="str">
        <f>IF(ISBLANK(E7),"",(H47-H48))</f>
        <v/>
      </c>
      <c r="I49" s="31"/>
      <c r="J49" s="32"/>
      <c r="K49" s="18"/>
      <c r="L49" s="15"/>
    </row>
    <row r="50" spans="2:12" ht="15.75" x14ac:dyDescent="0.25">
      <c r="B50" s="59"/>
      <c r="C50" s="42"/>
      <c r="D50" s="33"/>
      <c r="E50" s="31"/>
      <c r="F50" s="31"/>
      <c r="G50" s="34"/>
      <c r="H50" s="12"/>
      <c r="I50" s="31"/>
      <c r="J50" s="32"/>
      <c r="K50" s="18"/>
      <c r="L50" s="15"/>
    </row>
    <row r="51" spans="2:12" ht="15.75" x14ac:dyDescent="0.25">
      <c r="B51" s="59"/>
      <c r="C51" s="42"/>
      <c r="D51" s="33"/>
      <c r="E51" s="31"/>
      <c r="F51" s="31"/>
      <c r="G51" s="41" t="s">
        <v>10</v>
      </c>
      <c r="H51" s="76" t="str">
        <f>IF(ISBLANK(E7),"",(H45+H47))</f>
        <v/>
      </c>
      <c r="I51" s="31"/>
      <c r="J51" s="32"/>
      <c r="K51" s="18"/>
      <c r="L51" s="15"/>
    </row>
    <row r="52" spans="2:12" ht="15.75" x14ac:dyDescent="0.25">
      <c r="B52" s="59"/>
      <c r="C52" s="42"/>
      <c r="D52" s="33"/>
      <c r="E52" s="31"/>
      <c r="F52" s="31"/>
      <c r="G52" s="34" t="s">
        <v>37</v>
      </c>
      <c r="H52" s="76" t="str">
        <f>IF(ISBLANK(E7),"",(SUM(H51-H48)))</f>
        <v/>
      </c>
      <c r="I52" s="31"/>
      <c r="J52" s="32"/>
      <c r="K52" s="18"/>
      <c r="L52" s="15"/>
    </row>
    <row r="53" spans="2:12" ht="16.5" customHeight="1" thickBot="1" x14ac:dyDescent="0.3">
      <c r="B53" s="59"/>
      <c r="C53" s="42"/>
      <c r="D53" s="75"/>
      <c r="E53" s="14"/>
      <c r="F53" s="14"/>
      <c r="G53" s="14"/>
      <c r="H53" s="14"/>
      <c r="I53" s="14"/>
      <c r="J53" s="28"/>
      <c r="K53" s="18"/>
      <c r="L53" s="15"/>
    </row>
    <row r="54" spans="2:12" ht="15" customHeight="1" thickTop="1" x14ac:dyDescent="0.25">
      <c r="B54" s="59"/>
      <c r="C54" s="42"/>
      <c r="D54" s="18"/>
      <c r="E54" s="18"/>
      <c r="F54" s="18"/>
      <c r="G54" s="18"/>
      <c r="H54" s="18"/>
      <c r="I54" s="18"/>
      <c r="J54" s="18"/>
      <c r="K54" s="18"/>
      <c r="L54" s="15"/>
    </row>
    <row r="55" spans="2:12" x14ac:dyDescent="0.25">
      <c r="B55" s="59"/>
      <c r="C55" s="42"/>
      <c r="D55" s="18" t="s">
        <v>72</v>
      </c>
      <c r="E55" s="18"/>
      <c r="F55" s="18"/>
      <c r="G55" s="18"/>
      <c r="H55" s="18"/>
      <c r="I55" s="18"/>
      <c r="J55" s="18"/>
      <c r="K55" s="18"/>
      <c r="L55" s="15"/>
    </row>
    <row r="56" spans="2:12" x14ac:dyDescent="0.25">
      <c r="B56" s="59"/>
      <c r="C56" s="42"/>
      <c r="D56" s="18"/>
      <c r="E56" s="18"/>
      <c r="F56" s="18"/>
      <c r="G56" s="18"/>
      <c r="H56" s="18"/>
      <c r="I56" s="18"/>
      <c r="J56" s="18"/>
      <c r="K56" s="18"/>
      <c r="L56" s="15"/>
    </row>
    <row r="57" spans="2:12" x14ac:dyDescent="0.25">
      <c r="B57" s="59"/>
      <c r="C57" s="42"/>
      <c r="D57" s="35" t="s">
        <v>38</v>
      </c>
      <c r="E57" s="35" t="s">
        <v>39</v>
      </c>
      <c r="F57" s="35" t="s">
        <v>40</v>
      </c>
      <c r="G57" s="35" t="s">
        <v>41</v>
      </c>
      <c r="H57" s="35" t="s">
        <v>42</v>
      </c>
      <c r="J57" s="18"/>
      <c r="K57" s="18"/>
      <c r="L57" s="15"/>
    </row>
    <row r="58" spans="2:12" x14ac:dyDescent="0.25">
      <c r="B58" s="59"/>
      <c r="C58" s="42"/>
      <c r="D58" s="36">
        <f>Data!A12</f>
        <v>45894</v>
      </c>
      <c r="E58" s="37">
        <f>Data!B12</f>
        <v>45894</v>
      </c>
      <c r="F58" s="1" t="str">
        <f>Data!E12</f>
        <v>Summer</v>
      </c>
      <c r="G58" s="1" t="str">
        <f>Data!F12</f>
        <v>Bank Holiday</v>
      </c>
      <c r="H58" s="45">
        <f>Data!I12</f>
        <v>0</v>
      </c>
      <c r="I58" s="38" t="str">
        <f>IF(D58&gt;Data!$B$9,"After leave date",(IF(Calculator!D58&lt;Data!$A$9,"Before start date","")))</f>
        <v/>
      </c>
      <c r="J58" s="18"/>
      <c r="K58" s="18"/>
      <c r="L58" s="15"/>
    </row>
    <row r="59" spans="2:12" x14ac:dyDescent="0.25">
      <c r="B59" s="59"/>
      <c r="C59" s="42"/>
      <c r="D59" s="36">
        <f>Data!A13</f>
        <v>46015</v>
      </c>
      <c r="E59" s="37">
        <f>Data!B13</f>
        <v>46015</v>
      </c>
      <c r="F59" s="1" t="str">
        <f>Data!E13</f>
        <v>Christmas Eve</v>
      </c>
      <c r="G59" s="1" t="str">
        <f>Data!F13</f>
        <v>Closure Day</v>
      </c>
      <c r="H59" s="45">
        <f>Data!I13</f>
        <v>0</v>
      </c>
      <c r="I59" s="38" t="str">
        <f>IF(D59&gt;Data!$B$9,"After leave date",(IF(Calculator!D59&lt;Data!$A$9,"Before start date","")))</f>
        <v/>
      </c>
      <c r="J59" s="18"/>
      <c r="K59" s="18"/>
      <c r="L59" s="15"/>
    </row>
    <row r="60" spans="2:12" x14ac:dyDescent="0.25">
      <c r="B60" s="59"/>
      <c r="C60" s="42"/>
      <c r="D60" s="36">
        <f>Data!A14</f>
        <v>46016</v>
      </c>
      <c r="E60" s="37">
        <f>Data!B14</f>
        <v>46016</v>
      </c>
      <c r="F60" s="1" t="str">
        <f>Data!E14</f>
        <v>Christmas Day</v>
      </c>
      <c r="G60" s="1" t="str">
        <f>Data!F14</f>
        <v>Bank Holiday</v>
      </c>
      <c r="H60" s="45">
        <f>Data!I14</f>
        <v>0</v>
      </c>
      <c r="I60" s="38" t="str">
        <f>IF(D60&gt;Data!$B$9,"After leave date",(IF(Calculator!D60&lt;Data!$A$9,"Before start date","")))</f>
        <v/>
      </c>
      <c r="J60" s="18"/>
      <c r="K60" s="18"/>
      <c r="L60" s="15"/>
    </row>
    <row r="61" spans="2:12" x14ac:dyDescent="0.25">
      <c r="B61" s="59"/>
      <c r="C61" s="42"/>
      <c r="D61" s="36">
        <f>Data!A15</f>
        <v>46017</v>
      </c>
      <c r="E61" s="37">
        <f>Data!B15</f>
        <v>46017</v>
      </c>
      <c r="F61" s="1" t="str">
        <f>Data!E15</f>
        <v>Boxing Day</v>
      </c>
      <c r="G61" s="1" t="str">
        <f>Data!F15</f>
        <v>Bank Holiday</v>
      </c>
      <c r="H61" s="45">
        <f>Data!I15</f>
        <v>0</v>
      </c>
      <c r="I61" s="38" t="str">
        <f>IF(D61&gt;Data!$B$9,"After leave date",(IF(Calculator!D61&lt;Data!$A$9,"Before start date","")))</f>
        <v/>
      </c>
      <c r="J61" s="18"/>
      <c r="K61" s="18"/>
      <c r="L61" s="15"/>
    </row>
    <row r="62" spans="2:12" x14ac:dyDescent="0.25">
      <c r="B62" s="59"/>
      <c r="C62" s="42"/>
      <c r="D62" s="36">
        <f>Data!A16</f>
        <v>46020</v>
      </c>
      <c r="E62" s="37">
        <f>Data!B16</f>
        <v>46020</v>
      </c>
      <c r="F62" s="1" t="str">
        <f>Data!E16</f>
        <v>University Closure</v>
      </c>
      <c r="G62" s="1" t="str">
        <f>Data!F16</f>
        <v>Closure Day</v>
      </c>
      <c r="H62" s="45">
        <f>Data!I16</f>
        <v>0</v>
      </c>
      <c r="I62" s="38" t="str">
        <f>IF(D62&gt;Data!$B$9,"After leave date",(IF(Calculator!D62&lt;Data!$A$9,"Before start date","")))</f>
        <v/>
      </c>
      <c r="J62" s="18"/>
      <c r="K62" s="18"/>
      <c r="L62" s="15"/>
    </row>
    <row r="63" spans="2:12" x14ac:dyDescent="0.25">
      <c r="B63" s="59"/>
      <c r="C63" s="42"/>
      <c r="D63" s="36">
        <f>Data!A17</f>
        <v>46021</v>
      </c>
      <c r="E63" s="37">
        <f>Data!B17</f>
        <v>46021</v>
      </c>
      <c r="F63" s="1" t="str">
        <f>Data!E17</f>
        <v>University Closure</v>
      </c>
      <c r="G63" s="1" t="str">
        <f>Data!F17</f>
        <v>Closure Day</v>
      </c>
      <c r="H63" s="45">
        <f>Data!I17</f>
        <v>0</v>
      </c>
      <c r="I63" s="38" t="str">
        <f>IF(D63&gt;Data!$B$9,"After leave date",(IF(Calculator!D63&lt;Data!$A$9,"Before start date","")))</f>
        <v/>
      </c>
      <c r="J63" s="18"/>
      <c r="K63" s="18"/>
      <c r="L63" s="15"/>
    </row>
    <row r="64" spans="2:12" x14ac:dyDescent="0.25">
      <c r="B64" s="59"/>
      <c r="C64" s="42"/>
      <c r="D64" s="36">
        <f>Data!A18</f>
        <v>46022</v>
      </c>
      <c r="E64" s="37">
        <f>Data!B18</f>
        <v>46022</v>
      </c>
      <c r="F64" s="1" t="str">
        <f>Data!E18</f>
        <v>University Closure</v>
      </c>
      <c r="G64" s="1" t="str">
        <f>Data!F18</f>
        <v>Closure Day</v>
      </c>
      <c r="H64" s="45">
        <f>Data!I18</f>
        <v>0</v>
      </c>
      <c r="I64" s="38" t="str">
        <f>IF(D64&gt;Data!$B$9,"After leave date",(IF(Calculator!D64&lt;Data!$A$9,"Before start date","")))</f>
        <v/>
      </c>
      <c r="J64" s="18"/>
      <c r="K64" s="18"/>
      <c r="L64" s="15"/>
    </row>
    <row r="65" spans="2:12" x14ac:dyDescent="0.25">
      <c r="B65" s="59"/>
      <c r="C65" s="42"/>
      <c r="D65" s="36">
        <f>Data!A19</f>
        <v>46023</v>
      </c>
      <c r="E65" s="37">
        <f>Data!B19</f>
        <v>46023</v>
      </c>
      <c r="F65" s="1" t="str">
        <f>Data!E19</f>
        <v>New Year's Day</v>
      </c>
      <c r="G65" s="1" t="str">
        <f>Data!F19</f>
        <v>Bank Holiday</v>
      </c>
      <c r="H65" s="45">
        <f>Data!I19</f>
        <v>0</v>
      </c>
      <c r="I65" s="38" t="str">
        <f>IF(D65&gt;Data!$B$9,"After leave date",(IF(Calculator!D65&lt;Data!$A$9,"Before start date","")))</f>
        <v/>
      </c>
      <c r="J65" s="18"/>
      <c r="K65" s="18"/>
      <c r="L65" s="15"/>
    </row>
    <row r="66" spans="2:12" x14ac:dyDescent="0.25">
      <c r="B66" s="59"/>
      <c r="C66" s="42"/>
      <c r="D66" s="36">
        <f>Data!A20</f>
        <v>46115</v>
      </c>
      <c r="E66" s="37">
        <f>Data!B20</f>
        <v>46115</v>
      </c>
      <c r="F66" s="1" t="str">
        <f>Data!E20</f>
        <v>Good Friday</v>
      </c>
      <c r="G66" s="1" t="str">
        <f>Data!F20</f>
        <v>Bank Holiday</v>
      </c>
      <c r="H66" s="45">
        <f>Data!I20</f>
        <v>0</v>
      </c>
      <c r="I66" s="38" t="str">
        <f>IF(D66&gt;Data!$B$9,"After leave date",(IF(Calculator!D66&lt;Data!$A$9,"Before start date","")))</f>
        <v/>
      </c>
      <c r="J66" s="18"/>
      <c r="K66" s="18"/>
      <c r="L66" s="15"/>
    </row>
    <row r="67" spans="2:12" x14ac:dyDescent="0.25">
      <c r="B67" s="59"/>
      <c r="C67" s="42"/>
      <c r="D67" s="36">
        <f>Data!A21</f>
        <v>46118</v>
      </c>
      <c r="E67" s="37">
        <f>Data!B21</f>
        <v>46118</v>
      </c>
      <c r="F67" s="1" t="str">
        <f>Data!E21</f>
        <v>Easter Monday</v>
      </c>
      <c r="G67" s="1" t="str">
        <f>Data!F21</f>
        <v>Bank Holiday</v>
      </c>
      <c r="H67" s="45">
        <f>Data!I21</f>
        <v>0</v>
      </c>
      <c r="I67" s="38" t="str">
        <f>IF(D67&gt;Data!$B$9,"After leave date",(IF(Calculator!D67&lt;Data!$A$9,"Before start date","")))</f>
        <v/>
      </c>
      <c r="J67" s="18"/>
      <c r="K67" s="18"/>
      <c r="L67" s="15"/>
    </row>
    <row r="68" spans="2:12" x14ac:dyDescent="0.25">
      <c r="B68" s="59"/>
      <c r="C68" s="42"/>
      <c r="D68" s="36">
        <f>Data!A22</f>
        <v>46146</v>
      </c>
      <c r="E68" s="37">
        <f>Data!B22</f>
        <v>46146</v>
      </c>
      <c r="F68" s="1" t="str">
        <f>Data!E22</f>
        <v>Early May Bank Holiday</v>
      </c>
      <c r="G68" s="1" t="str">
        <f>Data!F22</f>
        <v>Bank Holiday</v>
      </c>
      <c r="H68" s="45">
        <f>Data!I22</f>
        <v>0</v>
      </c>
      <c r="I68" s="38" t="str">
        <f>IF(D68&gt;Data!$B$9,"After leave date",(IF(Calculator!D68&lt;Data!$A$9,"Before start date","")))</f>
        <v/>
      </c>
      <c r="J68" s="18"/>
      <c r="K68" s="18"/>
      <c r="L68" s="15"/>
    </row>
    <row r="69" spans="2:12" x14ac:dyDescent="0.25">
      <c r="B69" s="59"/>
      <c r="C69" s="42"/>
      <c r="D69" s="36">
        <f>Data!A23</f>
        <v>46167</v>
      </c>
      <c r="E69" s="37">
        <f>Data!B23</f>
        <v>46167</v>
      </c>
      <c r="F69" s="1" t="str">
        <f>Data!E23</f>
        <v>Spring Bank Holiday</v>
      </c>
      <c r="G69" s="1" t="str">
        <f>Data!F23</f>
        <v>Bank Holiday</v>
      </c>
      <c r="H69" s="45">
        <f>Data!I23</f>
        <v>0</v>
      </c>
      <c r="I69" s="38" t="str">
        <f>IF(D69&gt;Data!$B$9,"After leave date",(IF(Calculator!D69&lt;Data!$A$9,"Before start date","")))</f>
        <v/>
      </c>
      <c r="J69" s="18"/>
      <c r="K69" s="18"/>
      <c r="L69" s="15"/>
    </row>
    <row r="70" spans="2:12" x14ac:dyDescent="0.25">
      <c r="B70" s="59"/>
      <c r="C70" s="42"/>
      <c r="D70" s="39"/>
      <c r="E70" s="18"/>
      <c r="F70" s="18"/>
      <c r="G70" s="18"/>
      <c r="H70" s="18"/>
      <c r="I70" s="18"/>
      <c r="J70" s="18"/>
      <c r="K70" s="18"/>
      <c r="L70" s="15"/>
    </row>
    <row r="71" spans="2:12" x14ac:dyDescent="0.25">
      <c r="B71" s="59"/>
      <c r="C71" s="42"/>
      <c r="D71" s="18"/>
      <c r="G71" s="26" t="s">
        <v>43</v>
      </c>
      <c r="H71" s="45">
        <f>SUM(H58:H69)</f>
        <v>0</v>
      </c>
      <c r="I71" s="18"/>
      <c r="J71" s="18"/>
      <c r="K71" s="18"/>
      <c r="L71" s="15"/>
    </row>
    <row r="72" spans="2:12" ht="8.25" customHeight="1" x14ac:dyDescent="0.25">
      <c r="B72" s="59"/>
      <c r="C72" s="42"/>
      <c r="D72" s="18"/>
      <c r="E72" s="18"/>
      <c r="F72" s="18"/>
      <c r="G72" s="18"/>
      <c r="H72" s="18"/>
      <c r="I72" s="18"/>
      <c r="J72" s="18"/>
      <c r="K72" s="18"/>
      <c r="L72" s="15"/>
    </row>
    <row r="73" spans="2:12" ht="10.5" customHeight="1" thickBot="1" x14ac:dyDescent="0.3">
      <c r="B73" s="64"/>
      <c r="C73" s="65"/>
      <c r="D73" s="14"/>
      <c r="E73" s="14"/>
      <c r="F73" s="14"/>
      <c r="G73" s="14"/>
      <c r="H73" s="14"/>
      <c r="I73" s="14"/>
      <c r="J73" s="14"/>
      <c r="K73" s="14"/>
      <c r="L73" s="28"/>
    </row>
    <row r="74" spans="2:12" ht="15.75" thickTop="1" x14ac:dyDescent="0.25"/>
  </sheetData>
  <sheetProtection algorithmName="SHA-512" hashValue="X0y4OGJnn+iY/6b1+lQtyG8MVsYRdCJUSAUxUrPot1ZScGNN6Th+qmruF0ApX64kag7Cz2lYNL3GLxWVNLS16w==" saltValue="Axn0YF3S86R3Caly4Z8mSQ==" spinCount="100000" sheet="1" objects="1" scenarios="1"/>
  <mergeCells count="2">
    <mergeCell ref="E7:G7"/>
    <mergeCell ref="O19:S21"/>
  </mergeCells>
  <dataValidations count="1">
    <dataValidation type="list" allowBlank="1" showErrorMessage="1" error="Please select a value from the list" sqref="E7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3"/>
  <sheetViews>
    <sheetView workbookViewId="0">
      <selection activeCell="E30" sqref="E30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1" customFormat="1" x14ac:dyDescent="0.25">
      <c r="A1" s="10"/>
      <c r="B1" s="10" t="s">
        <v>44</v>
      </c>
      <c r="C1" s="10" t="s">
        <v>45</v>
      </c>
      <c r="D1" s="10" t="s">
        <v>46</v>
      </c>
    </row>
    <row r="2" spans="1:9" x14ac:dyDescent="0.25">
      <c r="A2" s="3" t="s">
        <v>47</v>
      </c>
      <c r="B2" s="3">
        <v>23</v>
      </c>
      <c r="C2" s="3">
        <v>12</v>
      </c>
      <c r="D2" s="3">
        <f>B2+C2</f>
        <v>35</v>
      </c>
    </row>
    <row r="3" spans="1:9" x14ac:dyDescent="0.25">
      <c r="A3" s="3" t="s">
        <v>48</v>
      </c>
      <c r="B3" s="3">
        <v>24</v>
      </c>
      <c r="C3" s="3">
        <v>12</v>
      </c>
      <c r="D3" s="3">
        <f t="shared" ref="D3:D6" si="0">B3+C3</f>
        <v>36</v>
      </c>
      <c r="F3">
        <f>IF(ISBLANK(Calculator!G31),36)</f>
        <v>36</v>
      </c>
    </row>
    <row r="4" spans="1:9" x14ac:dyDescent="0.25">
      <c r="A4" s="3" t="s">
        <v>49</v>
      </c>
      <c r="B4" s="3">
        <v>25</v>
      </c>
      <c r="C4" s="3">
        <v>12</v>
      </c>
      <c r="D4" s="3">
        <f t="shared" si="0"/>
        <v>37</v>
      </c>
    </row>
    <row r="5" spans="1:9" x14ac:dyDescent="0.25">
      <c r="A5" s="3" t="s">
        <v>50</v>
      </c>
      <c r="B5" s="3">
        <v>26</v>
      </c>
      <c r="C5" s="3">
        <v>12</v>
      </c>
      <c r="D5" s="3">
        <f t="shared" si="0"/>
        <v>38</v>
      </c>
    </row>
    <row r="6" spans="1:9" x14ac:dyDescent="0.25">
      <c r="A6" s="3" t="s">
        <v>3</v>
      </c>
      <c r="B6" s="3">
        <v>28</v>
      </c>
      <c r="C6" s="3">
        <v>12</v>
      </c>
      <c r="D6" s="3">
        <f t="shared" si="0"/>
        <v>40</v>
      </c>
    </row>
    <row r="8" spans="1:9" s="11" customFormat="1" x14ac:dyDescent="0.25">
      <c r="A8" s="10" t="s">
        <v>51</v>
      </c>
      <c r="B8" s="10" t="s">
        <v>52</v>
      </c>
      <c r="C8" s="10" t="s">
        <v>53</v>
      </c>
      <c r="D8" s="10" t="s">
        <v>54</v>
      </c>
      <c r="E8" s="10" t="s">
        <v>51</v>
      </c>
      <c r="F8" s="10" t="s">
        <v>52</v>
      </c>
    </row>
    <row r="9" spans="1:9" x14ac:dyDescent="0.25">
      <c r="A9" s="4">
        <f>IF(ISBLANK(Calculator!G27),DATEVALUE("01/08/2025"),Calculator!G27)</f>
        <v>45870</v>
      </c>
      <c r="B9" s="4">
        <f>IF(ISBLANK(Calculator!G28),DATEVALUE("31/07/2026"),Calculator!G28)</f>
        <v>46234</v>
      </c>
      <c r="C9" s="5">
        <f>DATEDIF(A9,B9,"D")+1</f>
        <v>365</v>
      </c>
      <c r="D9" s="5">
        <f>IF(C9&gt;365,365,C9)</f>
        <v>365</v>
      </c>
      <c r="E9" s="55">
        <v>45870</v>
      </c>
      <c r="F9" s="55">
        <v>46234</v>
      </c>
    </row>
    <row r="11" spans="1:9" x14ac:dyDescent="0.25">
      <c r="A11" s="6" t="s">
        <v>38</v>
      </c>
      <c r="B11" s="6" t="s">
        <v>39</v>
      </c>
      <c r="C11" s="6" t="s">
        <v>55</v>
      </c>
      <c r="D11" s="6" t="s">
        <v>56</v>
      </c>
      <c r="E11" s="6" t="s">
        <v>40</v>
      </c>
      <c r="F11" s="6" t="s">
        <v>41</v>
      </c>
      <c r="G11" s="6" t="s">
        <v>57</v>
      </c>
      <c r="H11" s="6" t="s">
        <v>58</v>
      </c>
      <c r="I11" s="6" t="s">
        <v>59</v>
      </c>
    </row>
    <row r="12" spans="1:9" x14ac:dyDescent="0.25">
      <c r="A12" s="8">
        <v>45894</v>
      </c>
      <c r="B12" s="9">
        <f>A12</f>
        <v>45894</v>
      </c>
      <c r="C12" s="7">
        <f>WEEKDAY(B12,2)</f>
        <v>1</v>
      </c>
      <c r="D12" s="7">
        <f>HLOOKUP($C12,Calculator!$D$35:$J$37,3,FALSE)</f>
        <v>0</v>
      </c>
      <c r="E12" s="7" t="s">
        <v>63</v>
      </c>
      <c r="F12" s="7" t="s">
        <v>61</v>
      </c>
      <c r="G12" s="3" t="b">
        <f>AND(A12&gt;=$A$9,A12&lt;=$B$9)</f>
        <v>1</v>
      </c>
      <c r="H12" s="3" t="str">
        <f>IF(G12=TRUE,"1","0")</f>
        <v>1</v>
      </c>
      <c r="I12" s="3">
        <f>D12*H12</f>
        <v>0</v>
      </c>
    </row>
    <row r="13" spans="1:9" x14ac:dyDescent="0.25">
      <c r="A13" s="8">
        <v>46015</v>
      </c>
      <c r="B13" s="9">
        <f t="shared" ref="B13:B14" si="1">A13</f>
        <v>46015</v>
      </c>
      <c r="C13" s="7">
        <f t="shared" ref="C13" si="2">WEEKDAY(B13,2)</f>
        <v>3</v>
      </c>
      <c r="D13" s="7">
        <f>HLOOKUP($C13,Calculator!$D$35:$J$37,3,FALSE)</f>
        <v>0</v>
      </c>
      <c r="E13" s="7" t="s">
        <v>73</v>
      </c>
      <c r="F13" s="7" t="s">
        <v>65</v>
      </c>
      <c r="G13" s="3" t="b">
        <f t="shared" ref="G13:G15" si="3">AND(A13&gt;=$A$9,A13&lt;=$B$9)</f>
        <v>1</v>
      </c>
      <c r="H13" s="3" t="str">
        <f t="shared" ref="H13:H15" si="4">IF(G13=TRUE,"1","0")</f>
        <v>1</v>
      </c>
      <c r="I13" s="3">
        <f t="shared" ref="I13:I15" si="5">D13*H13</f>
        <v>0</v>
      </c>
    </row>
    <row r="14" spans="1:9" x14ac:dyDescent="0.25">
      <c r="A14" s="8">
        <v>46016</v>
      </c>
      <c r="B14" s="9">
        <f t="shared" si="1"/>
        <v>46016</v>
      </c>
      <c r="C14" s="7">
        <f t="shared" ref="C14:C23" si="6">WEEKDAY(B14,2)</f>
        <v>4</v>
      </c>
      <c r="D14" s="7">
        <f>HLOOKUP($C14,Calculator!$D$35:$J$37,3,FALSE)</f>
        <v>0</v>
      </c>
      <c r="E14" s="7" t="s">
        <v>71</v>
      </c>
      <c r="F14" s="7" t="s">
        <v>61</v>
      </c>
      <c r="G14" s="3" t="b">
        <f t="shared" si="3"/>
        <v>1</v>
      </c>
      <c r="H14" s="3" t="str">
        <f t="shared" si="4"/>
        <v>1</v>
      </c>
      <c r="I14" s="3">
        <f t="shared" si="5"/>
        <v>0</v>
      </c>
    </row>
    <row r="15" spans="1:9" x14ac:dyDescent="0.25">
      <c r="A15" s="8">
        <v>46017</v>
      </c>
      <c r="B15" s="9">
        <f t="shared" ref="B15:B23" si="7">A15</f>
        <v>46017</v>
      </c>
      <c r="C15" s="7">
        <f t="shared" si="6"/>
        <v>5</v>
      </c>
      <c r="D15" s="7">
        <f>HLOOKUP($C15,Calculator!$D$35:$J$37,3,FALSE)</f>
        <v>0</v>
      </c>
      <c r="E15" s="7" t="s">
        <v>67</v>
      </c>
      <c r="F15" s="7" t="s">
        <v>61</v>
      </c>
      <c r="G15" s="3" t="b">
        <f t="shared" si="3"/>
        <v>1</v>
      </c>
      <c r="H15" s="3" t="str">
        <f t="shared" si="4"/>
        <v>1</v>
      </c>
      <c r="I15" s="3">
        <f t="shared" si="5"/>
        <v>0</v>
      </c>
    </row>
    <row r="16" spans="1:9" x14ac:dyDescent="0.25">
      <c r="A16" s="8">
        <v>46020</v>
      </c>
      <c r="B16" s="9">
        <f t="shared" si="7"/>
        <v>46020</v>
      </c>
      <c r="C16" s="7">
        <f t="shared" si="6"/>
        <v>1</v>
      </c>
      <c r="D16" s="7">
        <f>HLOOKUP($C16,Calculator!$D$35:$J$37,3,FALSE)</f>
        <v>0</v>
      </c>
      <c r="E16" s="7" t="s">
        <v>64</v>
      </c>
      <c r="F16" s="7" t="s">
        <v>65</v>
      </c>
      <c r="G16" s="3" t="b">
        <f>AND(A16&gt;=$A$9,A16&lt;=$B$9)</f>
        <v>1</v>
      </c>
      <c r="H16" s="3" t="str">
        <f t="shared" ref="H16:H23" si="8">IF(G16=TRUE,"1","0")</f>
        <v>1</v>
      </c>
      <c r="I16" s="3">
        <f t="shared" ref="I16:I23" si="9">D16*H16</f>
        <v>0</v>
      </c>
    </row>
    <row r="17" spans="1:9" x14ac:dyDescent="0.25">
      <c r="A17" s="8">
        <v>46021</v>
      </c>
      <c r="B17" s="9">
        <f t="shared" si="7"/>
        <v>46021</v>
      </c>
      <c r="C17" s="7">
        <f t="shared" si="6"/>
        <v>2</v>
      </c>
      <c r="D17" s="7">
        <f>HLOOKUP($C17,Calculator!$D$35:$J$37,3,FALSE)</f>
        <v>0</v>
      </c>
      <c r="E17" s="7" t="s">
        <v>64</v>
      </c>
      <c r="F17" s="7" t="s">
        <v>65</v>
      </c>
      <c r="G17" s="3" t="b">
        <f t="shared" ref="G17:G23" si="10">AND(A17&gt;=$A$9,A17&lt;=$B$9)</f>
        <v>1</v>
      </c>
      <c r="H17" s="3" t="str">
        <f t="shared" si="8"/>
        <v>1</v>
      </c>
      <c r="I17" s="3">
        <f t="shared" si="9"/>
        <v>0</v>
      </c>
    </row>
    <row r="18" spans="1:9" x14ac:dyDescent="0.25">
      <c r="A18" s="8">
        <v>46022</v>
      </c>
      <c r="B18" s="9">
        <f t="shared" si="7"/>
        <v>46022</v>
      </c>
      <c r="C18" s="7">
        <f t="shared" si="6"/>
        <v>3</v>
      </c>
      <c r="D18" s="7">
        <f>HLOOKUP($C18,Calculator!$D$35:$J$37,3,FALSE)</f>
        <v>0</v>
      </c>
      <c r="E18" s="7" t="s">
        <v>64</v>
      </c>
      <c r="F18" s="7" t="s">
        <v>65</v>
      </c>
      <c r="G18" s="3" t="b">
        <f t="shared" si="10"/>
        <v>1</v>
      </c>
      <c r="H18" s="3" t="str">
        <f t="shared" si="8"/>
        <v>1</v>
      </c>
      <c r="I18" s="3">
        <f t="shared" si="9"/>
        <v>0</v>
      </c>
    </row>
    <row r="19" spans="1:9" x14ac:dyDescent="0.25">
      <c r="A19" s="8">
        <v>46023</v>
      </c>
      <c r="B19" s="9">
        <f t="shared" si="7"/>
        <v>46023</v>
      </c>
      <c r="C19" s="7">
        <f t="shared" si="6"/>
        <v>4</v>
      </c>
      <c r="D19" s="7">
        <f>HLOOKUP($C19,Calculator!$D$35:$J$37,3,FALSE)</f>
        <v>0</v>
      </c>
      <c r="E19" s="7" t="s">
        <v>66</v>
      </c>
      <c r="F19" s="7" t="s">
        <v>61</v>
      </c>
      <c r="G19" s="3" t="b">
        <f t="shared" si="10"/>
        <v>1</v>
      </c>
      <c r="H19" s="3" t="str">
        <f t="shared" si="8"/>
        <v>1</v>
      </c>
      <c r="I19" s="3">
        <f t="shared" si="9"/>
        <v>0</v>
      </c>
    </row>
    <row r="20" spans="1:9" x14ac:dyDescent="0.25">
      <c r="A20" s="8">
        <v>46115</v>
      </c>
      <c r="B20" s="9">
        <f t="shared" si="7"/>
        <v>46115</v>
      </c>
      <c r="C20" s="7">
        <f t="shared" si="6"/>
        <v>5</v>
      </c>
      <c r="D20" s="7">
        <f>HLOOKUP($C20,Calculator!$D$35:$J$37,3,FALSE)</f>
        <v>0</v>
      </c>
      <c r="E20" s="7" t="s">
        <v>60</v>
      </c>
      <c r="F20" s="7" t="s">
        <v>61</v>
      </c>
      <c r="G20" s="3" t="b">
        <f t="shared" si="10"/>
        <v>1</v>
      </c>
      <c r="H20" s="3" t="str">
        <f t="shared" si="8"/>
        <v>1</v>
      </c>
      <c r="I20" s="3">
        <f t="shared" si="9"/>
        <v>0</v>
      </c>
    </row>
    <row r="21" spans="1:9" x14ac:dyDescent="0.25">
      <c r="A21" s="8">
        <v>46118</v>
      </c>
      <c r="B21" s="9">
        <f t="shared" si="7"/>
        <v>46118</v>
      </c>
      <c r="C21" s="7">
        <f t="shared" si="6"/>
        <v>1</v>
      </c>
      <c r="D21" s="7">
        <f>HLOOKUP($C21,Calculator!$D$35:$J$37,3,FALSE)</f>
        <v>0</v>
      </c>
      <c r="E21" s="7" t="s">
        <v>62</v>
      </c>
      <c r="F21" s="7" t="s">
        <v>61</v>
      </c>
      <c r="G21" s="3" t="b">
        <f t="shared" si="10"/>
        <v>1</v>
      </c>
      <c r="H21" s="3" t="str">
        <f t="shared" si="8"/>
        <v>1</v>
      </c>
      <c r="I21" s="3">
        <f t="shared" si="9"/>
        <v>0</v>
      </c>
    </row>
    <row r="22" spans="1:9" x14ac:dyDescent="0.25">
      <c r="A22" s="8">
        <v>46146</v>
      </c>
      <c r="B22" s="9">
        <f t="shared" si="7"/>
        <v>46146</v>
      </c>
      <c r="C22" s="7">
        <f t="shared" si="6"/>
        <v>1</v>
      </c>
      <c r="D22" s="7">
        <f>HLOOKUP($C22,Calculator!$D$35:$J$37,3,FALSE)</f>
        <v>0</v>
      </c>
      <c r="E22" s="7" t="s">
        <v>68</v>
      </c>
      <c r="F22" s="7" t="s">
        <v>61</v>
      </c>
      <c r="G22" s="3" t="b">
        <f t="shared" si="10"/>
        <v>1</v>
      </c>
      <c r="H22" s="3" t="str">
        <f t="shared" si="8"/>
        <v>1</v>
      </c>
      <c r="I22" s="3">
        <f t="shared" si="9"/>
        <v>0</v>
      </c>
    </row>
    <row r="23" spans="1:9" x14ac:dyDescent="0.25">
      <c r="A23" s="8">
        <v>46167</v>
      </c>
      <c r="B23" s="9">
        <f t="shared" si="7"/>
        <v>46167</v>
      </c>
      <c r="C23" s="7">
        <f t="shared" si="6"/>
        <v>1</v>
      </c>
      <c r="D23" s="7">
        <f>HLOOKUP($C23,Calculator!$D$35:$J$37,3,FALSE)</f>
        <v>0</v>
      </c>
      <c r="E23" s="7" t="s">
        <v>69</v>
      </c>
      <c r="F23" s="7" t="s">
        <v>61</v>
      </c>
      <c r="G23" s="3" t="b">
        <f t="shared" si="10"/>
        <v>1</v>
      </c>
      <c r="H23" s="3" t="str">
        <f t="shared" si="8"/>
        <v>1</v>
      </c>
      <c r="I23" s="3">
        <f t="shared" si="9"/>
        <v>0</v>
      </c>
    </row>
  </sheetData>
  <sheetProtection algorithmName="SHA-512" hashValue="U91nqIV4gFhulguGqGf3uYcZiOC+q1r/FJvUD0MN1AMsH3IfHzFb0Zy10rfslQqMxI/JNHPpKUHGXLzwnSxn0Q==" saltValue="VG7f7+eUj+XReA9REpqDp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Chilvers, Erin K</cp:lastModifiedBy>
  <cp:revision/>
  <dcterms:created xsi:type="dcterms:W3CDTF">2015-05-29T12:02:28Z</dcterms:created>
  <dcterms:modified xsi:type="dcterms:W3CDTF">2025-06-02T13:30:14Z</dcterms:modified>
  <cp:category/>
  <cp:contentStatus/>
</cp:coreProperties>
</file>